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BARRIO LOJA\"/>
    </mc:Choice>
  </mc:AlternateContent>
  <bookViews>
    <workbookView xWindow="-120" yWindow="-120" windowWidth="29040" windowHeight="15840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E21" i="1" l="1"/>
  <c r="I22" i="3" l="1"/>
  <c r="G22" i="3"/>
  <c r="G35" i="2" l="1"/>
  <c r="I35" i="2" s="1"/>
  <c r="G34" i="2"/>
  <c r="G32" i="2"/>
  <c r="G31" i="2"/>
  <c r="H27" i="2"/>
  <c r="G29" i="2"/>
  <c r="H26" i="2" s="1"/>
  <c r="I26" i="2" s="1"/>
  <c r="E14" i="3" s="1"/>
  <c r="G27" i="2"/>
  <c r="G26" i="2"/>
  <c r="G28" i="2"/>
  <c r="I28" i="2" s="1"/>
  <c r="G20" i="2"/>
  <c r="G21" i="2"/>
  <c r="G22" i="2"/>
  <c r="G18" i="2"/>
  <c r="E25" i="3" l="1"/>
  <c r="E21" i="3"/>
  <c r="I27" i="2"/>
  <c r="E15" i="3" s="1"/>
  <c r="I15" i="3" s="1"/>
  <c r="H30" i="2"/>
  <c r="I29" i="2"/>
  <c r="G15" i="3" l="1"/>
  <c r="E8" i="1"/>
  <c r="E9" i="1"/>
  <c r="E7" i="1"/>
  <c r="F8" i="1"/>
  <c r="F9" i="1"/>
  <c r="F7" i="1"/>
  <c r="E4" i="1"/>
  <c r="E5" i="1"/>
  <c r="E3" i="1"/>
  <c r="F4" i="1"/>
  <c r="F5" i="1"/>
  <c r="F3" i="1"/>
  <c r="F12" i="1" s="1"/>
  <c r="E6" i="1"/>
  <c r="E10" i="1"/>
  <c r="G33" i="2" l="1"/>
  <c r="G30" i="2"/>
  <c r="I30" i="2" s="1"/>
  <c r="E16" i="3" s="1"/>
  <c r="G25" i="2"/>
  <c r="G24" i="2"/>
  <c r="G23" i="2"/>
  <c r="G19" i="2"/>
  <c r="I26" i="3" l="1"/>
  <c r="G26" i="3"/>
  <c r="I28" i="3"/>
  <c r="G28" i="3"/>
  <c r="I31" i="2"/>
  <c r="I34" i="2"/>
  <c r="E19" i="3" l="1"/>
  <c r="E20" i="3"/>
  <c r="E17" i="3"/>
  <c r="G17" i="3" s="1"/>
  <c r="I16" i="3"/>
  <c r="G16" i="3"/>
  <c r="I17" i="3" l="1"/>
  <c r="G20" i="3"/>
  <c r="I20" i="3"/>
  <c r="G27" i="3"/>
  <c r="I27" i="3"/>
  <c r="I33" i="2"/>
  <c r="I25" i="2"/>
  <c r="E13" i="3" s="1"/>
  <c r="I13" i="3" s="1"/>
  <c r="L19" i="2" l="1"/>
  <c r="E24" i="3" s="1"/>
  <c r="G13" i="3"/>
  <c r="G19" i="1" l="1"/>
  <c r="J12" i="1"/>
  <c r="J14" i="1" s="1"/>
  <c r="I12" i="1"/>
  <c r="I14" i="1" s="1"/>
  <c r="H12" i="1"/>
  <c r="H13" i="1" s="1"/>
  <c r="F13" i="1" l="1"/>
  <c r="F14" i="1" s="1"/>
  <c r="E7" i="3" s="1"/>
  <c r="H14" i="1"/>
  <c r="I24" i="2" l="1"/>
  <c r="I23" i="2" l="1"/>
  <c r="E12" i="3" s="1"/>
  <c r="E12" i="1" l="1"/>
  <c r="E13" i="1" s="1"/>
  <c r="E14" i="1" s="1"/>
  <c r="E6" i="3" s="1"/>
  <c r="I12" i="3"/>
  <c r="G12" i="3"/>
  <c r="G25" i="3"/>
  <c r="G24" i="3"/>
  <c r="I25" i="3"/>
  <c r="I22" i="2" l="1"/>
  <c r="E11" i="3" s="1"/>
  <c r="I21" i="3" l="1"/>
  <c r="G21" i="3"/>
  <c r="I24" i="3" l="1"/>
  <c r="I19" i="3" l="1"/>
  <c r="G19" i="3"/>
  <c r="I32" i="2" l="1"/>
  <c r="E18" i="3" s="1"/>
  <c r="I20" i="2"/>
  <c r="E9" i="3" s="1"/>
  <c r="I19" i="2"/>
  <c r="I18" i="2"/>
  <c r="E8" i="3" l="1"/>
  <c r="L18" i="2"/>
  <c r="E23" i="3" s="1"/>
  <c r="I14" i="3"/>
  <c r="G18" i="3"/>
  <c r="G14" i="3" l="1"/>
  <c r="G23" i="3"/>
  <c r="I23" i="3"/>
  <c r="I18" i="3"/>
  <c r="G8" i="3"/>
  <c r="I8" i="3"/>
  <c r="G11" i="3"/>
  <c r="I11" i="3"/>
  <c r="I9" i="3"/>
  <c r="G9" i="3"/>
  <c r="G7" i="3" l="1"/>
  <c r="I7" i="3"/>
  <c r="I6" i="3"/>
  <c r="G6" i="3"/>
  <c r="I21" i="2"/>
  <c r="E10" i="3" s="1"/>
  <c r="I10" i="3" l="1"/>
  <c r="G10" i="3"/>
  <c r="I29" i="3" l="1"/>
  <c r="I30" i="3"/>
  <c r="I31" i="3" l="1"/>
  <c r="I32" i="3" l="1"/>
  <c r="I33" i="3" s="1"/>
</calcChain>
</file>

<file path=xl/sharedStrings.xml><?xml version="1.0" encoding="utf-8"?>
<sst xmlns="http://schemas.openxmlformats.org/spreadsheetml/2006/main" count="211" uniqueCount="107">
  <si>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</si>
  <si>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</si>
  <si>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</si>
  <si>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</si>
  <si>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</si>
  <si>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</si>
  <si>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</si>
  <si>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</si>
  <si>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</si>
  <si>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</si>
  <si>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</si>
  <si>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P6</t>
  </si>
  <si>
    <t>P7</t>
  </si>
  <si>
    <t>P8</t>
  </si>
  <si>
    <t>Conductor ACSR 2</t>
  </si>
  <si>
    <t>Subtotal</t>
  </si>
  <si>
    <t>Multiplex 3x6</t>
  </si>
  <si>
    <t>TIPO</t>
  </si>
  <si>
    <t>FV</t>
  </si>
  <si>
    <t>ALTURA</t>
  </si>
  <si>
    <t>ITEM</t>
  </si>
  <si>
    <t>KGF</t>
  </si>
  <si>
    <t>1EP</t>
  </si>
  <si>
    <t>1ER</t>
  </si>
  <si>
    <t>TOTAL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</si>
  <si>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</si>
  <si>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</si>
  <si>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</si>
  <si>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</si>
  <si>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</si>
  <si>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</si>
  <si>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</si>
  <si>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</si>
  <si>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</si>
  <si>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</si>
  <si>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</si>
  <si>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</si>
  <si>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</si>
  <si>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</si>
  <si>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</si>
  <si>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</si>
  <si>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</si>
  <si>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U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</si>
  <si>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</si>
  <si>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</si>
  <si>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</si>
  <si>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</si>
  <si>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</si>
  <si>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</si>
  <si>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TAT-0TS</t>
  </si>
  <si>
    <t>11m</t>
  </si>
  <si>
    <t>Suministro, montaje e instalacion de acometida bifásica en bajo voltaje 240-120V directa</t>
  </si>
  <si>
    <t>P1e</t>
  </si>
  <si>
    <t>12m</t>
  </si>
  <si>
    <t>1ED</t>
  </si>
  <si>
    <t>Pararrayos</t>
  </si>
  <si>
    <t>Desperdicio 1,5%</t>
  </si>
  <si>
    <t>Conductor Concentrico de Cobre 2x4(4)</t>
  </si>
  <si>
    <t># Acometidas</t>
  </si>
  <si>
    <t>Distancia promedio de acometida</t>
  </si>
  <si>
    <t>Suministro y montaje de poste de fibra de vidrio de 12 metros, 500 kgf</t>
  </si>
  <si>
    <t>1 Secc</t>
  </si>
  <si>
    <t>excav Postes</t>
  </si>
  <si>
    <t>excav PT</t>
  </si>
  <si>
    <t>Retiro y desalojo de poste de hormigón</t>
  </si>
  <si>
    <t>Conductor Preensamblado 2x35(35)</t>
  </si>
  <si>
    <t>Seccionadores 1F (incluye Pararrayos)</t>
  </si>
  <si>
    <t>TAD-0TS</t>
  </si>
  <si>
    <t>Suministro y tendido de cable preensamblado 2x35+1x35 mm2</t>
  </si>
  <si>
    <t>Desbroce de vegetacion</t>
  </si>
  <si>
    <t>km</t>
  </si>
  <si>
    <t>Desmontaje y desalojo de red media tensión monofásica (incluye: conductor, herrajes, aisladores y seccionador)</t>
  </si>
  <si>
    <t>1CDT</t>
  </si>
  <si>
    <t>PROYECTO BARRIO LOJA</t>
  </si>
  <si>
    <t>PRESUPUESTO PROYECTO BARRIO LOJA</t>
  </si>
  <si>
    <t>P2</t>
  </si>
  <si>
    <t>P3</t>
  </si>
  <si>
    <t>P4</t>
  </si>
  <si>
    <t>P5</t>
  </si>
  <si>
    <t>P9e</t>
  </si>
  <si>
    <t>HA</t>
  </si>
  <si>
    <t>90W</t>
  </si>
  <si>
    <t>10 kVA</t>
  </si>
  <si>
    <t>1 Pararrayos</t>
  </si>
  <si>
    <t>1Pararrayos</t>
  </si>
  <si>
    <t>TAT-0TS+TAD-0TS</t>
  </si>
  <si>
    <t>1CPT</t>
  </si>
  <si>
    <t>1CAT</t>
  </si>
  <si>
    <t>TAT-0TS+TAT-0TD</t>
  </si>
  <si>
    <t>TAT-0TD</t>
  </si>
  <si>
    <t xml:space="preserve">10 kVA </t>
  </si>
  <si>
    <t>Suministro y montaje de Estructura EST-1CDT 15kV</t>
  </si>
  <si>
    <t>Suministro y montaje de Estructura EST-1CPT 15kV</t>
  </si>
  <si>
    <t>Suministro y montaje de Estructura EST-1CAT 15kV</t>
  </si>
  <si>
    <t>Acometidas</t>
  </si>
  <si>
    <t>Suministro, montaje e instalacion de abrazadera para acometidas simple</t>
  </si>
  <si>
    <t>Suministro, montaje e instalación transformador auto. 1F, 10 kVA</t>
  </si>
  <si>
    <t>Suministro, montaje e instalación de luminaria autocontrolada tipo LED de 110W</t>
  </si>
  <si>
    <t>Suministro, montaje e instalacion de medidor bifasico Radio Frecuencia bajo voltaje 220-127V // 240-120V</t>
  </si>
  <si>
    <t>SI</t>
  </si>
  <si>
    <t>Suministro, montaje e instalación de seccionamiento con fusible para una fase (incluye cruceta y sin pararrayos)</t>
  </si>
  <si>
    <t>Anexo #2</t>
  </si>
  <si>
    <t>Suministro y montaje  tensor a tierra simple 13.8 kV</t>
  </si>
  <si>
    <t>Suministro y montaje  tensor a tierra doble 13.8 kV</t>
  </si>
  <si>
    <t>Suministro y montaje de Estructura EST-1EP 240V</t>
  </si>
  <si>
    <t>Suministro y montaje de Estructura EST-1ED 240V</t>
  </si>
  <si>
    <t>Suministro y montaje  tensor a tierra simple 240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</si>
</sst>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2" fontId="0" fillId="0" borderId="0" xfId="0" applyNumberFormat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4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0" fillId="2" borderId="1" xfId="0" applyFill="1" applyBorder="1" applyAlignment="1">
      <alignment wrapText="1"/>
    </xf>
    <xf numFmtId="164" fontId="1" fillId="0" borderId="2" xfId="1" applyFont="1" applyBorder="1"/>
    <xf numFmtId="0" fontId="3" fillId="0" borderId="0" xfId="0" applyFont="1"/>
    <xf numFmtId="0" fontId="3" fillId="0" borderId="0" xfId="0" applyFont="1" applyFill="1"/>
    <xf numFmtId="0" fontId="3" fillId="2" borderId="0" xfId="0" applyFont="1" applyFill="1"/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workbookViewId="0">
      <selection activeCell="D10" activeCellId="3" sqref="F3:F5 F7:F9 D6 D10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2:10" x14ac:dyDescent="0.25">
      <c r="B1" s="26" t="s">
        <v>73</v>
      </c>
      <c r="C1" s="26"/>
      <c r="D1" s="26"/>
      <c r="E1" s="26"/>
    </row>
    <row r="2" spans="2:10" x14ac:dyDescent="0.25">
      <c r="B2" s="1" t="s">
        <v>0</v>
      </c>
      <c r="C2" s="1" t="s">
        <v>1</v>
      </c>
      <c r="D2" s="1" t="s">
        <v>2</v>
      </c>
      <c r="E2" s="1" t="s">
        <v>14</v>
      </c>
      <c r="F2" s="1" t="s">
        <v>65</v>
      </c>
      <c r="G2" s="1"/>
      <c r="H2" s="1" t="s">
        <v>16</v>
      </c>
      <c r="I2" s="1" t="s">
        <v>31</v>
      </c>
      <c r="J2" s="1" t="s">
        <v>32</v>
      </c>
    </row>
    <row r="3" spans="2:10" x14ac:dyDescent="0.25">
      <c r="B3" t="s">
        <v>52</v>
      </c>
      <c r="C3" t="s">
        <v>75</v>
      </c>
      <c r="D3">
        <v>81</v>
      </c>
      <c r="E3">
        <f>+D3*1</f>
        <v>81</v>
      </c>
      <c r="F3">
        <f>+D3*1</f>
        <v>81</v>
      </c>
    </row>
    <row r="4" spans="2:10" x14ac:dyDescent="0.25">
      <c r="B4" t="s">
        <v>75</v>
      </c>
      <c r="C4" t="s">
        <v>76</v>
      </c>
      <c r="D4">
        <v>80</v>
      </c>
      <c r="E4">
        <f t="shared" ref="E4:E5" si="0">+D4*1</f>
        <v>80</v>
      </c>
      <c r="F4">
        <f t="shared" ref="F4:F5" si="1">+D4*1</f>
        <v>80</v>
      </c>
    </row>
    <row r="5" spans="2:10" x14ac:dyDescent="0.25">
      <c r="B5" t="s">
        <v>76</v>
      </c>
      <c r="C5" t="s">
        <v>77</v>
      </c>
      <c r="D5">
        <v>81</v>
      </c>
      <c r="E5">
        <f t="shared" si="0"/>
        <v>81</v>
      </c>
      <c r="F5">
        <f t="shared" si="1"/>
        <v>81</v>
      </c>
    </row>
    <row r="6" spans="2:10" x14ac:dyDescent="0.25">
      <c r="B6" t="s">
        <v>77</v>
      </c>
      <c r="C6" t="s">
        <v>78</v>
      </c>
      <c r="D6">
        <v>81</v>
      </c>
      <c r="E6">
        <f t="shared" ref="E6:E10" si="2">+D6*2</f>
        <v>162</v>
      </c>
    </row>
    <row r="7" spans="2:10" x14ac:dyDescent="0.25">
      <c r="B7" t="s">
        <v>78</v>
      </c>
      <c r="C7" t="s">
        <v>11</v>
      </c>
      <c r="D7">
        <v>82</v>
      </c>
      <c r="E7">
        <f>+D7*1</f>
        <v>82</v>
      </c>
      <c r="F7">
        <f>+D7</f>
        <v>82</v>
      </c>
    </row>
    <row r="8" spans="2:10" x14ac:dyDescent="0.25">
      <c r="B8" t="s">
        <v>11</v>
      </c>
      <c r="C8" t="s">
        <v>12</v>
      </c>
      <c r="D8">
        <v>81</v>
      </c>
      <c r="E8">
        <f t="shared" ref="E8:E9" si="3">+D8*1</f>
        <v>81</v>
      </c>
      <c r="F8">
        <f t="shared" ref="F8:F9" si="4">+D8</f>
        <v>81</v>
      </c>
    </row>
    <row r="9" spans="2:10" x14ac:dyDescent="0.25">
      <c r="B9" t="s">
        <v>12</v>
      </c>
      <c r="C9" t="s">
        <v>13</v>
      </c>
      <c r="D9">
        <v>81</v>
      </c>
      <c r="E9">
        <f t="shared" si="3"/>
        <v>81</v>
      </c>
      <c r="F9">
        <f t="shared" si="4"/>
        <v>81</v>
      </c>
    </row>
    <row r="10" spans="2:10" x14ac:dyDescent="0.25">
      <c r="B10" t="s">
        <v>13</v>
      </c>
      <c r="C10" t="s">
        <v>79</v>
      </c>
      <c r="D10">
        <v>92</v>
      </c>
      <c r="E10">
        <f t="shared" si="2"/>
        <v>184</v>
      </c>
    </row>
    <row r="12" spans="2:10" x14ac:dyDescent="0.25">
      <c r="D12" s="15" t="s">
        <v>15</v>
      </c>
      <c r="E12" s="16">
        <f>SUM(E3:E10)</f>
        <v>832</v>
      </c>
      <c r="F12" s="16">
        <f>SUM(F3:F10)</f>
        <v>486</v>
      </c>
      <c r="G12" s="16"/>
      <c r="H12" s="16">
        <f>SUM(H11:H11)</f>
        <v>0</v>
      </c>
      <c r="I12" s="16">
        <f>SUM(I11:I11)</f>
        <v>0</v>
      </c>
      <c r="J12" s="16">
        <f>SUM(J11:J11)</f>
        <v>0</v>
      </c>
    </row>
    <row r="13" spans="2:10" x14ac:dyDescent="0.25">
      <c r="D13" t="s">
        <v>56</v>
      </c>
      <c r="E13" s="16">
        <f>+E12*0.015</f>
        <v>12.48</v>
      </c>
      <c r="F13" s="16">
        <f t="shared" ref="F13:H13" si="5">+F12*0.015</f>
        <v>7.29</v>
      </c>
      <c r="G13" s="16"/>
      <c r="H13" s="16">
        <f t="shared" si="5"/>
        <v>0</v>
      </c>
      <c r="I13" s="16"/>
      <c r="J13" s="16"/>
    </row>
    <row r="14" spans="2:10" x14ac:dyDescent="0.25">
      <c r="D14" t="s">
        <v>24</v>
      </c>
      <c r="E14" s="16">
        <f>+E12+E13</f>
        <v>844.48</v>
      </c>
      <c r="F14" s="16">
        <f t="shared" ref="F14:J14" si="6">+F12+F13</f>
        <v>493.29</v>
      </c>
      <c r="G14" s="16"/>
      <c r="H14" s="16">
        <f t="shared" si="6"/>
        <v>0</v>
      </c>
      <c r="I14" s="16">
        <f t="shared" si="6"/>
        <v>0</v>
      </c>
      <c r="J14" s="16">
        <f t="shared" si="6"/>
        <v>0</v>
      </c>
    </row>
    <row r="16" spans="2:10" x14ac:dyDescent="0.25">
      <c r="G16" s="1" t="s">
        <v>57</v>
      </c>
    </row>
    <row r="17" spans="5:7" x14ac:dyDescent="0.25">
      <c r="F17" t="s">
        <v>58</v>
      </c>
      <c r="G17">
        <v>13</v>
      </c>
    </row>
    <row r="18" spans="5:7" x14ac:dyDescent="0.25">
      <c r="F18" t="s">
        <v>59</v>
      </c>
      <c r="G18">
        <v>20</v>
      </c>
    </row>
    <row r="19" spans="5:7" x14ac:dyDescent="0.25">
      <c r="G19">
        <f>+G17*G18</f>
        <v>260</v>
      </c>
    </row>
    <row r="21" spans="5:7" x14ac:dyDescent="0.25">
      <c r="E21">
        <f>+E12/2000</f>
        <v>0.41599999999999998</v>
      </c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3"/>
  <sheetViews>
    <sheetView topLeftCell="D1" workbookViewId="0">
      <selection activeCell="I34" sqref="I34:I35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11" bestFit="1" customWidth="1"/>
    <col min="6" max="6" width="10.140625" bestFit="1" customWidth="1"/>
    <col min="7" max="7" width="13" bestFit="1" customWidth="1"/>
    <col min="8" max="8" width="12.42578125" bestFit="1" customWidth="1"/>
    <col min="9" max="9" width="16.42578125" bestFit="1" customWidth="1"/>
    <col min="10" max="10" width="11.7109375" bestFit="1" customWidth="1"/>
    <col min="11" max="11" width="11.7109375" customWidth="1"/>
    <col min="12" max="12" width="8" bestFit="1" customWidth="1"/>
    <col min="13" max="13" width="9.7109375" bestFit="1" customWidth="1"/>
    <col min="14" max="14" width="10.5703125" bestFit="1" customWidth="1"/>
  </cols>
  <sheetData>
    <row r="2" spans="2:14" s="1" customFormat="1" x14ac:dyDescent="0.25">
      <c r="B2" s="1" t="s">
        <v>20</v>
      </c>
      <c r="C2" s="1" t="s">
        <v>19</v>
      </c>
      <c r="D2" s="1" t="s">
        <v>21</v>
      </c>
      <c r="E2" s="1" t="s">
        <v>3</v>
      </c>
      <c r="F2" s="1" t="s">
        <v>17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55</v>
      </c>
      <c r="L2" s="1" t="s">
        <v>8</v>
      </c>
      <c r="M2" s="1" t="s">
        <v>9</v>
      </c>
      <c r="N2" s="1" t="s">
        <v>10</v>
      </c>
    </row>
    <row r="3" spans="2:14" x14ac:dyDescent="0.25">
      <c r="B3">
        <v>1</v>
      </c>
      <c r="C3" t="s">
        <v>50</v>
      </c>
      <c r="D3">
        <v>400</v>
      </c>
      <c r="E3" t="s">
        <v>52</v>
      </c>
      <c r="F3" t="s">
        <v>80</v>
      </c>
      <c r="G3" t="s">
        <v>72</v>
      </c>
      <c r="H3" t="s">
        <v>54</v>
      </c>
      <c r="I3" t="s">
        <v>88</v>
      </c>
    </row>
    <row r="4" spans="2:14" x14ac:dyDescent="0.25">
      <c r="B4">
        <v>2</v>
      </c>
      <c r="C4" t="s">
        <v>53</v>
      </c>
      <c r="D4">
        <v>500</v>
      </c>
      <c r="E4" t="s">
        <v>75</v>
      </c>
      <c r="F4" t="s">
        <v>18</v>
      </c>
      <c r="G4" t="s">
        <v>86</v>
      </c>
      <c r="H4" t="s">
        <v>22</v>
      </c>
      <c r="M4" t="s">
        <v>81</v>
      </c>
      <c r="N4">
        <v>1</v>
      </c>
    </row>
    <row r="5" spans="2:14" x14ac:dyDescent="0.25">
      <c r="B5">
        <v>3</v>
      </c>
      <c r="C5" t="s">
        <v>53</v>
      </c>
      <c r="D5">
        <v>500</v>
      </c>
      <c r="E5" t="s">
        <v>76</v>
      </c>
      <c r="F5" t="s">
        <v>18</v>
      </c>
      <c r="G5" t="s">
        <v>86</v>
      </c>
      <c r="H5" t="s">
        <v>22</v>
      </c>
      <c r="J5" t="s">
        <v>61</v>
      </c>
      <c r="K5" t="s">
        <v>83</v>
      </c>
      <c r="L5" t="s">
        <v>82</v>
      </c>
    </row>
    <row r="6" spans="2:14" x14ac:dyDescent="0.25">
      <c r="B6">
        <v>4</v>
      </c>
      <c r="C6" t="s">
        <v>53</v>
      </c>
      <c r="D6">
        <v>500</v>
      </c>
      <c r="E6" t="s">
        <v>77</v>
      </c>
      <c r="F6" t="s">
        <v>18</v>
      </c>
      <c r="G6" t="s">
        <v>86</v>
      </c>
      <c r="H6" t="s">
        <v>54</v>
      </c>
      <c r="I6" t="s">
        <v>67</v>
      </c>
      <c r="M6" t="s">
        <v>81</v>
      </c>
      <c r="N6">
        <v>1</v>
      </c>
    </row>
    <row r="7" spans="2:14" x14ac:dyDescent="0.25">
      <c r="B7">
        <v>5</v>
      </c>
      <c r="C7" t="s">
        <v>53</v>
      </c>
      <c r="D7">
        <v>500</v>
      </c>
      <c r="E7" t="s">
        <v>78</v>
      </c>
      <c r="F7" t="s">
        <v>18</v>
      </c>
      <c r="G7" t="s">
        <v>86</v>
      </c>
      <c r="H7" t="s">
        <v>54</v>
      </c>
      <c r="I7" t="s">
        <v>67</v>
      </c>
      <c r="M7" t="s">
        <v>81</v>
      </c>
      <c r="N7">
        <v>1</v>
      </c>
    </row>
    <row r="8" spans="2:14" x14ac:dyDescent="0.25">
      <c r="B8">
        <v>6</v>
      </c>
      <c r="C8" t="s">
        <v>53</v>
      </c>
      <c r="D8">
        <v>500</v>
      </c>
      <c r="E8" t="s">
        <v>11</v>
      </c>
      <c r="F8" t="s">
        <v>18</v>
      </c>
      <c r="G8" t="s">
        <v>86</v>
      </c>
      <c r="H8" t="s">
        <v>22</v>
      </c>
      <c r="M8" t="s">
        <v>81</v>
      </c>
      <c r="N8">
        <v>1</v>
      </c>
    </row>
    <row r="9" spans="2:14" x14ac:dyDescent="0.25">
      <c r="B9">
        <v>7</v>
      </c>
      <c r="C9" t="s">
        <v>53</v>
      </c>
      <c r="D9">
        <v>500</v>
      </c>
      <c r="E9" t="s">
        <v>12</v>
      </c>
      <c r="F9" t="s">
        <v>18</v>
      </c>
      <c r="G9" t="s">
        <v>86</v>
      </c>
      <c r="H9" t="s">
        <v>22</v>
      </c>
      <c r="J9" t="s">
        <v>61</v>
      </c>
      <c r="K9" t="s">
        <v>84</v>
      </c>
      <c r="L9" t="s">
        <v>82</v>
      </c>
      <c r="M9" t="s">
        <v>81</v>
      </c>
      <c r="N9">
        <v>1</v>
      </c>
    </row>
    <row r="10" spans="2:14" x14ac:dyDescent="0.25">
      <c r="B10">
        <v>8</v>
      </c>
      <c r="C10" t="s">
        <v>53</v>
      </c>
      <c r="D10">
        <v>500</v>
      </c>
      <c r="E10" t="s">
        <v>13</v>
      </c>
      <c r="F10" t="s">
        <v>18</v>
      </c>
      <c r="G10" t="s">
        <v>87</v>
      </c>
      <c r="H10" t="s">
        <v>54</v>
      </c>
      <c r="I10" t="s">
        <v>85</v>
      </c>
      <c r="M10" t="s">
        <v>81</v>
      </c>
      <c r="N10">
        <v>1</v>
      </c>
    </row>
    <row r="11" spans="2:14" x14ac:dyDescent="0.25">
      <c r="B11">
        <v>9</v>
      </c>
      <c r="C11" t="s">
        <v>50</v>
      </c>
      <c r="D11">
        <v>400</v>
      </c>
      <c r="E11" t="s">
        <v>79</v>
      </c>
      <c r="F11" t="s">
        <v>80</v>
      </c>
      <c r="G11" t="s">
        <v>72</v>
      </c>
      <c r="H11" t="s">
        <v>54</v>
      </c>
      <c r="I11" t="s">
        <v>88</v>
      </c>
    </row>
    <row r="16" spans="2:14" x14ac:dyDescent="0.25">
      <c r="D16" s="27" t="s">
        <v>25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</row>
    <row r="17" spans="4:14" s="1" customFormat="1" x14ac:dyDescent="0.25">
      <c r="D17" s="26" t="s">
        <v>26</v>
      </c>
      <c r="E17" s="26"/>
      <c r="F17" s="26"/>
      <c r="G17" s="2" t="s">
        <v>29</v>
      </c>
      <c r="H17" s="2" t="s">
        <v>30</v>
      </c>
      <c r="I17" s="3" t="s">
        <v>15</v>
      </c>
      <c r="J17" s="2"/>
      <c r="K17" s="14"/>
      <c r="L17" s="2"/>
      <c r="M17" s="2"/>
      <c r="N17" s="2"/>
    </row>
    <row r="18" spans="4:14" x14ac:dyDescent="0.25">
      <c r="D18" s="27" t="s">
        <v>27</v>
      </c>
      <c r="E18" s="27"/>
      <c r="F18" s="27"/>
      <c r="G18">
        <f>+COUNTIF(D3:D11,"500")</f>
        <v>7</v>
      </c>
      <c r="I18" s="3">
        <f t="shared" ref="I18:I19" si="0">SUM(G18:H18)</f>
        <v>7</v>
      </c>
      <c r="K18" t="s">
        <v>62</v>
      </c>
      <c r="L18">
        <f>+I18+I19+I30+I26+I27</f>
        <v>15</v>
      </c>
    </row>
    <row r="19" spans="4:14" x14ac:dyDescent="0.25">
      <c r="D19" s="27" t="s">
        <v>28</v>
      </c>
      <c r="E19" s="27"/>
      <c r="F19" s="27"/>
      <c r="G19">
        <f>+COUNTIF(C3:C11,"10m")</f>
        <v>0</v>
      </c>
      <c r="I19" s="3">
        <f t="shared" si="0"/>
        <v>0</v>
      </c>
      <c r="K19" t="s">
        <v>63</v>
      </c>
      <c r="L19">
        <f>+I33+I34</f>
        <v>2</v>
      </c>
    </row>
    <row r="20" spans="4:14" x14ac:dyDescent="0.25">
      <c r="D20" s="27" t="s">
        <v>72</v>
      </c>
      <c r="E20" s="27"/>
      <c r="F20" s="27"/>
      <c r="G20">
        <f>+COUNTIF($G$3:$G$11,"1CDT")</f>
        <v>2</v>
      </c>
      <c r="I20" s="3">
        <f>SUM(G20:H20)</f>
        <v>2</v>
      </c>
    </row>
    <row r="21" spans="4:14" x14ac:dyDescent="0.25">
      <c r="D21" s="27" t="s">
        <v>86</v>
      </c>
      <c r="E21" s="27"/>
      <c r="F21" s="27"/>
      <c r="G21">
        <f>+COUNTIF($G$3:$G$11,"1CPT")</f>
        <v>6</v>
      </c>
      <c r="I21" s="3">
        <f t="shared" ref="I21:I30" si="1">SUM(G21:H21)</f>
        <v>6</v>
      </c>
    </row>
    <row r="22" spans="4:14" x14ac:dyDescent="0.25">
      <c r="D22" s="27" t="s">
        <v>87</v>
      </c>
      <c r="E22" s="27"/>
      <c r="F22" s="27"/>
      <c r="G22">
        <f>+COUNTIF($G$3:$G$11,"1CAT")</f>
        <v>1</v>
      </c>
      <c r="I22" s="3">
        <f t="shared" si="1"/>
        <v>1</v>
      </c>
    </row>
    <row r="23" spans="4:14" x14ac:dyDescent="0.25">
      <c r="D23" s="27" t="s">
        <v>22</v>
      </c>
      <c r="E23" s="27"/>
      <c r="F23" s="27"/>
      <c r="G23">
        <f>+COUNTIF($H$3:$H$11,"1EP")</f>
        <v>4</v>
      </c>
      <c r="I23" s="3">
        <f t="shared" si="1"/>
        <v>4</v>
      </c>
    </row>
    <row r="24" spans="4:14" x14ac:dyDescent="0.25">
      <c r="D24" s="27" t="s">
        <v>23</v>
      </c>
      <c r="E24" s="27"/>
      <c r="F24" s="27"/>
      <c r="G24">
        <f>+COUNTIF($H$3:$H$11,"1ER")</f>
        <v>0</v>
      </c>
      <c r="I24" s="3">
        <f t="shared" si="1"/>
        <v>0</v>
      </c>
    </row>
    <row r="25" spans="4:14" x14ac:dyDescent="0.25">
      <c r="D25" s="27" t="s">
        <v>54</v>
      </c>
      <c r="E25" s="27"/>
      <c r="F25" s="27"/>
      <c r="G25">
        <f>+COUNTIF($H$3:$H$11,"1ED")</f>
        <v>5</v>
      </c>
      <c r="I25" s="3">
        <f t="shared" si="1"/>
        <v>5</v>
      </c>
    </row>
    <row r="26" spans="4:14" x14ac:dyDescent="0.25">
      <c r="D26" s="27" t="s">
        <v>49</v>
      </c>
      <c r="E26" s="27"/>
      <c r="F26" s="27"/>
      <c r="G26">
        <f>+COUNTIF($I$3:$I$11,"TAT-0TS")</f>
        <v>0</v>
      </c>
      <c r="H26">
        <f>+G28*1+G29*1</f>
        <v>3</v>
      </c>
      <c r="I26" s="3">
        <f t="shared" si="1"/>
        <v>3</v>
      </c>
    </row>
    <row r="27" spans="4:14" x14ac:dyDescent="0.25">
      <c r="D27" s="27" t="s">
        <v>89</v>
      </c>
      <c r="E27" s="27"/>
      <c r="F27" s="27"/>
      <c r="G27">
        <f>+COUNTIF($I$3:$I$11,"TAT-0TD")</f>
        <v>0</v>
      </c>
      <c r="H27">
        <f>+G28*1</f>
        <v>2</v>
      </c>
      <c r="I27" s="3">
        <f t="shared" si="1"/>
        <v>2</v>
      </c>
    </row>
    <row r="28" spans="4:14" hidden="1" x14ac:dyDescent="0.25">
      <c r="D28" s="27" t="s">
        <v>88</v>
      </c>
      <c r="E28" s="27"/>
      <c r="F28" s="27"/>
      <c r="G28">
        <f>+COUNTIF($I$3:$I$11,"TAT-0TS+TAT-0TD")</f>
        <v>2</v>
      </c>
      <c r="I28" s="3">
        <f t="shared" si="1"/>
        <v>2</v>
      </c>
    </row>
    <row r="29" spans="4:14" hidden="1" x14ac:dyDescent="0.25">
      <c r="D29" s="27" t="s">
        <v>85</v>
      </c>
      <c r="E29" s="27"/>
      <c r="F29" s="27"/>
      <c r="G29">
        <f>+COUNTIF($I$3:$I$11,"TAT-0TS+TAD-0TS")</f>
        <v>1</v>
      </c>
      <c r="I29" s="3">
        <f t="shared" si="1"/>
        <v>1</v>
      </c>
    </row>
    <row r="30" spans="4:14" x14ac:dyDescent="0.25">
      <c r="D30" s="27" t="s">
        <v>67</v>
      </c>
      <c r="E30" s="27"/>
      <c r="F30" s="27"/>
      <c r="G30">
        <f>+COUNTIF($I$3:$I$11,"TAD-0TS")</f>
        <v>2</v>
      </c>
      <c r="H30">
        <f>+G29*1</f>
        <v>1</v>
      </c>
      <c r="I30" s="3">
        <f t="shared" si="1"/>
        <v>3</v>
      </c>
    </row>
    <row r="31" spans="4:14" x14ac:dyDescent="0.25">
      <c r="D31" s="27" t="s">
        <v>66</v>
      </c>
      <c r="E31" s="27"/>
      <c r="F31" s="27"/>
      <c r="G31">
        <f>+COUNTIF($J$3:$J$11,"1 Secc")</f>
        <v>2</v>
      </c>
      <c r="I31" s="3">
        <f t="shared" ref="I31:I32" si="2">SUM(G31:H31)</f>
        <v>2</v>
      </c>
    </row>
    <row r="32" spans="4:14" x14ac:dyDescent="0.25">
      <c r="D32" s="27" t="s">
        <v>81</v>
      </c>
      <c r="E32" s="27"/>
      <c r="F32" s="27"/>
      <c r="G32">
        <f>+COUNTIF($M$3:$M$11,"90W")</f>
        <v>6</v>
      </c>
      <c r="I32" s="3">
        <f t="shared" si="2"/>
        <v>6</v>
      </c>
    </row>
    <row r="33" spans="4:9" x14ac:dyDescent="0.25">
      <c r="D33" s="27" t="s">
        <v>55</v>
      </c>
      <c r="E33" s="27"/>
      <c r="F33" s="27"/>
      <c r="G33">
        <f>+COUNTIF($K$3:$K$11,"3")</f>
        <v>0</v>
      </c>
      <c r="I33" s="3">
        <f>+G33+H33</f>
        <v>0</v>
      </c>
    </row>
    <row r="34" spans="4:9" x14ac:dyDescent="0.25">
      <c r="D34" s="27" t="s">
        <v>90</v>
      </c>
      <c r="E34" s="27"/>
      <c r="F34" s="27"/>
      <c r="G34">
        <f>+COUNTIF($L$3:$L$11,"10 kVA")</f>
        <v>2</v>
      </c>
      <c r="I34" s="3">
        <f>+G34+H34</f>
        <v>2</v>
      </c>
    </row>
    <row r="35" spans="4:9" x14ac:dyDescent="0.25">
      <c r="D35" s="27" t="s">
        <v>94</v>
      </c>
      <c r="E35" s="27"/>
      <c r="F35" s="27"/>
      <c r="G35">
        <f>+COUNTIF($N$3:$N$11,1)</f>
        <v>6</v>
      </c>
      <c r="I35" s="3">
        <f>+G35+H35</f>
        <v>6</v>
      </c>
    </row>
    <row r="36" spans="4:9" x14ac:dyDescent="0.25">
      <c r="D36" s="27"/>
      <c r="E36" s="27"/>
      <c r="F36" s="27"/>
    </row>
    <row r="37" spans="4:9" x14ac:dyDescent="0.25">
      <c r="D37" s="27"/>
      <c r="E37" s="27"/>
      <c r="F37" s="27"/>
    </row>
    <row r="38" spans="4:9" x14ac:dyDescent="0.25">
      <c r="D38" s="27"/>
      <c r="E38" s="27"/>
      <c r="F38" s="27"/>
    </row>
    <row r="39" spans="4:9" x14ac:dyDescent="0.25">
      <c r="D39" s="27"/>
      <c r="E39" s="27"/>
      <c r="F39" s="27"/>
    </row>
    <row r="40" spans="4:9" x14ac:dyDescent="0.25">
      <c r="D40" s="27"/>
      <c r="E40" s="27"/>
      <c r="F40" s="27"/>
    </row>
    <row r="41" spans="4:9" x14ac:dyDescent="0.25">
      <c r="D41" s="27"/>
      <c r="E41" s="27"/>
      <c r="F41" s="27"/>
    </row>
    <row r="42" spans="4:9" x14ac:dyDescent="0.25">
      <c r="D42" s="27"/>
      <c r="E42" s="27"/>
      <c r="F42" s="27"/>
    </row>
    <row r="43" spans="4:9" x14ac:dyDescent="0.25">
      <c r="D43" s="27"/>
      <c r="E43" s="27"/>
      <c r="F43" s="27"/>
    </row>
  </sheetData>
  <mergeCells count="28">
    <mergeCell ref="D20:F20"/>
    <mergeCell ref="D16:N16"/>
    <mergeCell ref="D18:F18"/>
    <mergeCell ref="D17:F17"/>
    <mergeCell ref="D19:F19"/>
    <mergeCell ref="D21:F21"/>
    <mergeCell ref="D22:F22"/>
    <mergeCell ref="D23:F23"/>
    <mergeCell ref="D24:F24"/>
    <mergeCell ref="D25:F25"/>
    <mergeCell ref="D43:F43"/>
    <mergeCell ref="D37:F37"/>
    <mergeCell ref="D38:F38"/>
    <mergeCell ref="D39:F39"/>
    <mergeCell ref="D40:F40"/>
    <mergeCell ref="D26:F26"/>
    <mergeCell ref="D27:F27"/>
    <mergeCell ref="D41:F41"/>
    <mergeCell ref="D42:F42"/>
    <mergeCell ref="D31:F31"/>
    <mergeCell ref="D30:F30"/>
    <mergeCell ref="D34:F34"/>
    <mergeCell ref="D35:F35"/>
    <mergeCell ref="D36:F36"/>
    <mergeCell ref="D32:F32"/>
    <mergeCell ref="D33:F33"/>
    <mergeCell ref="D28:F28"/>
    <mergeCell ref="D29:F29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3"/>
  <sheetViews>
    <sheetView tabSelected="1" view="pageBreakPreview" topLeftCell="A4" zoomScaleNormal="60" zoomScaleSheetLayoutView="100" workbookViewId="0">
      <selection activeCell="C17" sqref="C17"/>
    </sheetView>
  </sheetViews>
  <sheetFormatPr baseColWidth="10" defaultRowHeight="15" x14ac:dyDescent="0.25"/>
  <cols>
    <col min="1" max="1" width="11.42578125" style="22"/>
    <col min="3" max="3" width="101.42578125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5.7109375" bestFit="1" customWidth="1"/>
  </cols>
  <sheetData>
    <row r="3" spans="1:13" x14ac:dyDescent="0.25">
      <c r="B3" s="26" t="s">
        <v>74</v>
      </c>
      <c r="C3" s="26"/>
      <c r="D3" s="26"/>
      <c r="E3" s="26"/>
      <c r="F3" s="26"/>
      <c r="G3" s="26"/>
      <c r="H3" s="26"/>
      <c r="I3" s="26"/>
      <c r="J3" s="5"/>
      <c r="K3" s="5"/>
      <c r="L3" s="5"/>
      <c r="M3" s="5"/>
    </row>
    <row r="4" spans="1:13" ht="15.75" x14ac:dyDescent="0.25">
      <c r="B4" s="25" t="s">
        <v>101</v>
      </c>
    </row>
    <row r="5" spans="1:13" x14ac:dyDescent="0.25">
      <c r="B5" s="6" t="s">
        <v>33</v>
      </c>
      <c r="C5" s="6" t="s">
        <v>26</v>
      </c>
      <c r="D5" s="6" t="s">
        <v>38</v>
      </c>
      <c r="E5" s="6" t="s">
        <v>36</v>
      </c>
      <c r="F5" s="6" t="s">
        <v>39</v>
      </c>
      <c r="G5" s="6" t="s">
        <v>40</v>
      </c>
      <c r="H5" s="6" t="s">
        <v>34</v>
      </c>
      <c r="I5" s="6" t="s">
        <v>41</v>
      </c>
    </row>
    <row r="6" spans="1:13" x14ac:dyDescent="0.25">
      <c r="A6" s="22" t="s">
        <v>99</v>
      </c>
      <c r="B6" s="7">
        <v>1</v>
      </c>
      <c r="C6" s="7" t="s">
        <v>35</v>
      </c>
      <c r="D6" s="7" t="s">
        <v>37</v>
      </c>
      <c r="E6" s="7">
        <f>+ROUNDUP(CONDUCTOR!E14,FALSE)</f>
        <v>845</v>
      </c>
      <c r="F6" s="7">
        <v>0.85</v>
      </c>
      <c r="G6" s="8">
        <f>+E6*F6</f>
        <v>718.25</v>
      </c>
      <c r="H6" s="7">
        <v>0.97</v>
      </c>
      <c r="I6" s="8">
        <f>+H6*E6</f>
        <v>819.65</v>
      </c>
    </row>
    <row r="7" spans="1:13" s="12" customFormat="1" x14ac:dyDescent="0.25">
      <c r="A7" s="23" t="s">
        <v>99</v>
      </c>
      <c r="B7" s="10">
        <v>2</v>
      </c>
      <c r="C7" s="10" t="s">
        <v>68</v>
      </c>
      <c r="D7" s="10" t="s">
        <v>37</v>
      </c>
      <c r="E7" s="10">
        <f>+ROUNDUP(CONDUCTOR!F14,FALSE)</f>
        <v>494</v>
      </c>
      <c r="F7" s="10">
        <v>4.38</v>
      </c>
      <c r="G7" s="11">
        <f t="shared" ref="G7:G28" si="0">+E7*F7</f>
        <v>2163.7199999999998</v>
      </c>
      <c r="H7" s="10">
        <v>1.54</v>
      </c>
      <c r="I7" s="11">
        <f t="shared" ref="I7:I28" si="1">+H7*E7</f>
        <v>760.76</v>
      </c>
    </row>
    <row r="8" spans="1:13" x14ac:dyDescent="0.25">
      <c r="A8" s="22" t="s">
        <v>99</v>
      </c>
      <c r="B8" s="7">
        <v>3</v>
      </c>
      <c r="C8" s="7" t="s">
        <v>60</v>
      </c>
      <c r="D8" s="7" t="s">
        <v>42</v>
      </c>
      <c r="E8" s="7">
        <f>+ESTRUCTURAS!I18</f>
        <v>7</v>
      </c>
      <c r="F8" s="7">
        <v>875.75</v>
      </c>
      <c r="G8" s="8">
        <f t="shared" si="0"/>
        <v>6130.25</v>
      </c>
      <c r="H8" s="7">
        <v>122.9</v>
      </c>
      <c r="I8" s="8">
        <f t="shared" si="1"/>
        <v>860.30000000000007</v>
      </c>
    </row>
    <row r="9" spans="1:13" s="12" customFormat="1" x14ac:dyDescent="0.25">
      <c r="A9" s="23"/>
      <c r="B9" s="7">
        <v>5</v>
      </c>
      <c r="C9" s="10" t="s">
        <v>91</v>
      </c>
      <c r="D9" s="10" t="s">
        <v>42</v>
      </c>
      <c r="E9" s="10">
        <f>+ESTRUCTURAS!I20</f>
        <v>2</v>
      </c>
      <c r="F9" s="10">
        <v>116.95</v>
      </c>
      <c r="G9" s="11">
        <f t="shared" si="0"/>
        <v>233.9</v>
      </c>
      <c r="H9" s="10">
        <v>54.15</v>
      </c>
      <c r="I9" s="11">
        <f t="shared" si="1"/>
        <v>108.3</v>
      </c>
    </row>
    <row r="10" spans="1:13" x14ac:dyDescent="0.25">
      <c r="B10" s="10">
        <v>6</v>
      </c>
      <c r="C10" s="10" t="s">
        <v>92</v>
      </c>
      <c r="D10" s="7" t="s">
        <v>42</v>
      </c>
      <c r="E10" s="7">
        <f>+ESTRUCTURAS!I21</f>
        <v>6</v>
      </c>
      <c r="F10" s="7">
        <v>31.58</v>
      </c>
      <c r="G10" s="8">
        <f t="shared" si="0"/>
        <v>189.48</v>
      </c>
      <c r="H10" s="7">
        <v>21.66</v>
      </c>
      <c r="I10" s="8">
        <f t="shared" si="1"/>
        <v>129.96</v>
      </c>
    </row>
    <row r="11" spans="1:13" x14ac:dyDescent="0.25">
      <c r="B11" s="7">
        <v>7</v>
      </c>
      <c r="C11" s="10" t="s">
        <v>93</v>
      </c>
      <c r="D11" s="7" t="s">
        <v>42</v>
      </c>
      <c r="E11" s="7">
        <f>+ESTRUCTURAS!I22</f>
        <v>1</v>
      </c>
      <c r="F11" s="7">
        <v>41.12</v>
      </c>
      <c r="G11" s="8">
        <f t="shared" si="0"/>
        <v>41.12</v>
      </c>
      <c r="H11" s="7">
        <v>27.08</v>
      </c>
      <c r="I11" s="8">
        <f t="shared" si="1"/>
        <v>27.08</v>
      </c>
    </row>
    <row r="12" spans="1:13" x14ac:dyDescent="0.25">
      <c r="A12" s="22" t="s">
        <v>99</v>
      </c>
      <c r="B12" s="10">
        <v>8</v>
      </c>
      <c r="C12" s="10" t="s">
        <v>104</v>
      </c>
      <c r="D12" s="7" t="s">
        <v>42</v>
      </c>
      <c r="E12" s="7">
        <f>+ESTRUCTURAS!I23</f>
        <v>4</v>
      </c>
      <c r="F12" s="7">
        <v>20.059999999999999</v>
      </c>
      <c r="G12" s="8">
        <f t="shared" si="0"/>
        <v>80.239999999999995</v>
      </c>
      <c r="H12" s="7">
        <v>16.829999999999998</v>
      </c>
      <c r="I12" s="8">
        <f t="shared" si="1"/>
        <v>67.319999999999993</v>
      </c>
    </row>
    <row r="13" spans="1:13" x14ac:dyDescent="0.25">
      <c r="A13" s="22" t="s">
        <v>99</v>
      </c>
      <c r="B13" s="10">
        <v>10</v>
      </c>
      <c r="C13" s="10" t="s">
        <v>105</v>
      </c>
      <c r="D13" s="7" t="s">
        <v>42</v>
      </c>
      <c r="E13" s="7">
        <f>+ESTRUCTURAS!I25</f>
        <v>5</v>
      </c>
      <c r="F13" s="7">
        <v>27.55</v>
      </c>
      <c r="G13" s="8">
        <f t="shared" si="0"/>
        <v>137.75</v>
      </c>
      <c r="H13" s="7">
        <v>42.08</v>
      </c>
      <c r="I13" s="8">
        <f t="shared" si="1"/>
        <v>210.39999999999998</v>
      </c>
    </row>
    <row r="14" spans="1:13" s="19" customFormat="1" x14ac:dyDescent="0.25">
      <c r="A14" s="24" t="s">
        <v>99</v>
      </c>
      <c r="B14" s="7">
        <v>11</v>
      </c>
      <c r="C14" s="17" t="s">
        <v>102</v>
      </c>
      <c r="D14" s="17" t="s">
        <v>42</v>
      </c>
      <c r="E14" s="7">
        <f>+ESTRUCTURAS!I26</f>
        <v>3</v>
      </c>
      <c r="F14" s="17">
        <v>69.489999999999995</v>
      </c>
      <c r="G14" s="18">
        <f t="shared" si="0"/>
        <v>208.46999999999997</v>
      </c>
      <c r="H14" s="17">
        <v>32.08</v>
      </c>
      <c r="I14" s="18">
        <f t="shared" si="1"/>
        <v>96.24</v>
      </c>
    </row>
    <row r="15" spans="1:13" s="19" customFormat="1" x14ac:dyDescent="0.25">
      <c r="A15" s="24" t="s">
        <v>99</v>
      </c>
      <c r="B15" s="10">
        <v>12</v>
      </c>
      <c r="C15" s="17" t="s">
        <v>103</v>
      </c>
      <c r="D15" s="17" t="s">
        <v>42</v>
      </c>
      <c r="E15" s="7">
        <f>+ESTRUCTURAS!I27</f>
        <v>2</v>
      </c>
      <c r="F15" s="17">
        <v>93.09</v>
      </c>
      <c r="G15" s="18">
        <f t="shared" si="0"/>
        <v>186.18</v>
      </c>
      <c r="H15" s="17">
        <v>44.91</v>
      </c>
      <c r="I15" s="18">
        <f t="shared" si="1"/>
        <v>89.82</v>
      </c>
    </row>
    <row r="16" spans="1:13" s="19" customFormat="1" x14ac:dyDescent="0.25">
      <c r="A16" s="24" t="s">
        <v>99</v>
      </c>
      <c r="B16" s="7">
        <v>13</v>
      </c>
      <c r="C16" s="17" t="s">
        <v>106</v>
      </c>
      <c r="D16" s="17" t="s">
        <v>42</v>
      </c>
      <c r="E16" s="7">
        <f>+ESTRUCTURAS!I30</f>
        <v>3</v>
      </c>
      <c r="F16" s="17">
        <v>60.61</v>
      </c>
      <c r="G16" s="18">
        <f t="shared" si="0"/>
        <v>181.82999999999998</v>
      </c>
      <c r="H16" s="17">
        <v>25.66</v>
      </c>
      <c r="I16" s="18">
        <f t="shared" si="1"/>
        <v>76.98</v>
      </c>
    </row>
    <row r="17" spans="1:11" s="19" customFormat="1" ht="15" customHeight="1" x14ac:dyDescent="0.25">
      <c r="A17" s="24" t="s">
        <v>99</v>
      </c>
      <c r="B17" s="10">
        <v>14</v>
      </c>
      <c r="C17" s="17" t="s">
        <v>100</v>
      </c>
      <c r="D17" s="17" t="s">
        <v>42</v>
      </c>
      <c r="E17" s="17">
        <f>+ESTRUCTURAS!I31</f>
        <v>2</v>
      </c>
      <c r="F17" s="17">
        <f>201.07</f>
        <v>201.07</v>
      </c>
      <c r="G17" s="18">
        <f t="shared" si="0"/>
        <v>402.14</v>
      </c>
      <c r="H17" s="17">
        <v>50.57</v>
      </c>
      <c r="I17" s="18">
        <f t="shared" si="1"/>
        <v>101.14</v>
      </c>
    </row>
    <row r="18" spans="1:11" s="19" customFormat="1" x14ac:dyDescent="0.25">
      <c r="A18" s="24" t="s">
        <v>99</v>
      </c>
      <c r="B18" s="7">
        <v>15</v>
      </c>
      <c r="C18" s="17" t="s">
        <v>97</v>
      </c>
      <c r="D18" s="17" t="s">
        <v>42</v>
      </c>
      <c r="E18" s="17">
        <f>+ESTRUCTURAS!I32</f>
        <v>6</v>
      </c>
      <c r="F18" s="17">
        <v>453.5</v>
      </c>
      <c r="G18" s="18">
        <f t="shared" si="0"/>
        <v>2721</v>
      </c>
      <c r="H18" s="17">
        <v>39.15</v>
      </c>
      <c r="I18" s="18">
        <f t="shared" si="1"/>
        <v>234.89999999999998</v>
      </c>
    </row>
    <row r="19" spans="1:11" s="19" customFormat="1" x14ac:dyDescent="0.25">
      <c r="A19" s="24" t="s">
        <v>99</v>
      </c>
      <c r="B19" s="10">
        <v>16</v>
      </c>
      <c r="C19" s="17" t="s">
        <v>43</v>
      </c>
      <c r="D19" s="17" t="s">
        <v>42</v>
      </c>
      <c r="E19" s="17">
        <f>+ESTRUCTURAS!I34</f>
        <v>2</v>
      </c>
      <c r="F19" s="17">
        <v>591.11</v>
      </c>
      <c r="G19" s="18">
        <f t="shared" si="0"/>
        <v>1182.22</v>
      </c>
      <c r="H19" s="17">
        <v>84.15</v>
      </c>
      <c r="I19" s="18">
        <f t="shared" si="1"/>
        <v>168.3</v>
      </c>
    </row>
    <row r="20" spans="1:11" s="19" customFormat="1" x14ac:dyDescent="0.25">
      <c r="A20" s="24"/>
      <c r="B20" s="7">
        <v>17</v>
      </c>
      <c r="C20" s="17" t="s">
        <v>96</v>
      </c>
      <c r="D20" s="17" t="s">
        <v>42</v>
      </c>
      <c r="E20" s="17">
        <f>+ESTRUCTURAS!I34</f>
        <v>2</v>
      </c>
      <c r="F20" s="17">
        <v>1317.87</v>
      </c>
      <c r="G20" s="18">
        <f t="shared" si="0"/>
        <v>2635.74</v>
      </c>
      <c r="H20" s="17">
        <v>92.9</v>
      </c>
      <c r="I20" s="18">
        <f t="shared" si="1"/>
        <v>185.8</v>
      </c>
    </row>
    <row r="21" spans="1:11" s="19" customFormat="1" x14ac:dyDescent="0.25">
      <c r="A21" s="24" t="s">
        <v>99</v>
      </c>
      <c r="B21" s="10">
        <v>18</v>
      </c>
      <c r="C21" s="20" t="s">
        <v>51</v>
      </c>
      <c r="D21" s="17" t="s">
        <v>42</v>
      </c>
      <c r="E21" s="17">
        <f>+ESTRUCTURAS!I35</f>
        <v>6</v>
      </c>
      <c r="F21" s="17">
        <v>126.52</v>
      </c>
      <c r="G21" s="18">
        <f t="shared" si="0"/>
        <v>759.12</v>
      </c>
      <c r="H21" s="17">
        <v>44.15</v>
      </c>
      <c r="I21" s="18">
        <f t="shared" si="1"/>
        <v>264.89999999999998</v>
      </c>
    </row>
    <row r="22" spans="1:11" s="19" customFormat="1" ht="17.25" customHeight="1" x14ac:dyDescent="0.25">
      <c r="A22" s="24" t="s">
        <v>99</v>
      </c>
      <c r="B22" s="7">
        <v>19</v>
      </c>
      <c r="C22" s="20" t="s">
        <v>98</v>
      </c>
      <c r="D22" s="17" t="s">
        <v>42</v>
      </c>
      <c r="E22" s="17">
        <v>6</v>
      </c>
      <c r="F22" s="17">
        <v>49.2</v>
      </c>
      <c r="G22" s="18">
        <f t="shared" si="0"/>
        <v>295.20000000000005</v>
      </c>
      <c r="H22" s="17">
        <v>40.31</v>
      </c>
      <c r="I22" s="18">
        <f t="shared" si="1"/>
        <v>241.86</v>
      </c>
    </row>
    <row r="23" spans="1:11" s="19" customFormat="1" x14ac:dyDescent="0.25">
      <c r="A23" s="24" t="s">
        <v>99</v>
      </c>
      <c r="B23" s="10">
        <v>20</v>
      </c>
      <c r="C23" s="17" t="s">
        <v>44</v>
      </c>
      <c r="D23" s="17" t="s">
        <v>42</v>
      </c>
      <c r="E23" s="17">
        <f>+ESTRUCTURAS!L18</f>
        <v>15</v>
      </c>
      <c r="F23" s="17"/>
      <c r="G23" s="18">
        <f t="shared" si="0"/>
        <v>0</v>
      </c>
      <c r="H23" s="17">
        <v>184.15</v>
      </c>
      <c r="I23" s="18">
        <f t="shared" si="1"/>
        <v>2762.25</v>
      </c>
    </row>
    <row r="24" spans="1:11" s="19" customFormat="1" x14ac:dyDescent="0.25">
      <c r="A24" s="24" t="s">
        <v>99</v>
      </c>
      <c r="B24" s="7">
        <v>21</v>
      </c>
      <c r="C24" s="17" t="s">
        <v>45</v>
      </c>
      <c r="D24" s="17" t="s">
        <v>42</v>
      </c>
      <c r="E24" s="17">
        <f>+ESTRUCTURAS!L19</f>
        <v>2</v>
      </c>
      <c r="F24" s="17"/>
      <c r="G24" s="18">
        <f t="shared" si="0"/>
        <v>0</v>
      </c>
      <c r="H24" s="17">
        <v>192.9</v>
      </c>
      <c r="I24" s="18">
        <f t="shared" si="1"/>
        <v>385.8</v>
      </c>
    </row>
    <row r="25" spans="1:11" s="19" customFormat="1" x14ac:dyDescent="0.25">
      <c r="A25" s="24" t="s">
        <v>99</v>
      </c>
      <c r="B25" s="10">
        <v>22</v>
      </c>
      <c r="C25" s="17" t="s">
        <v>95</v>
      </c>
      <c r="D25" s="17" t="s">
        <v>42</v>
      </c>
      <c r="E25" s="17">
        <f>+ESTRUCTURAS!I35</f>
        <v>6</v>
      </c>
      <c r="F25" s="17">
        <v>7.88</v>
      </c>
      <c r="G25" s="18">
        <f t="shared" si="0"/>
        <v>47.28</v>
      </c>
      <c r="H25" s="18">
        <v>7.45</v>
      </c>
      <c r="I25" s="18">
        <f t="shared" si="1"/>
        <v>44.7</v>
      </c>
    </row>
    <row r="26" spans="1:11" s="19" customFormat="1" ht="17.25" customHeight="1" x14ac:dyDescent="0.25">
      <c r="A26" s="24" t="s">
        <v>99</v>
      </c>
      <c r="B26" s="7">
        <v>23</v>
      </c>
      <c r="C26" s="20" t="s">
        <v>71</v>
      </c>
      <c r="D26" s="17" t="s">
        <v>37</v>
      </c>
      <c r="E26" s="10">
        <v>700</v>
      </c>
      <c r="F26" s="17"/>
      <c r="G26" s="18">
        <f t="shared" si="0"/>
        <v>0</v>
      </c>
      <c r="H26" s="18">
        <v>0.82</v>
      </c>
      <c r="I26" s="18">
        <f t="shared" si="1"/>
        <v>574</v>
      </c>
    </row>
    <row r="27" spans="1:11" s="19" customFormat="1" x14ac:dyDescent="0.25">
      <c r="A27" s="24" t="s">
        <v>99</v>
      </c>
      <c r="B27" s="7">
        <v>25</v>
      </c>
      <c r="C27" s="17" t="s">
        <v>64</v>
      </c>
      <c r="D27" s="17" t="s">
        <v>42</v>
      </c>
      <c r="E27" s="10">
        <v>2</v>
      </c>
      <c r="F27" s="17"/>
      <c r="G27" s="18">
        <f t="shared" si="0"/>
        <v>0</v>
      </c>
      <c r="H27" s="18">
        <v>112.9</v>
      </c>
      <c r="I27" s="18">
        <f t="shared" si="1"/>
        <v>225.8</v>
      </c>
    </row>
    <row r="28" spans="1:11" s="19" customFormat="1" x14ac:dyDescent="0.25">
      <c r="A28" s="24" t="s">
        <v>99</v>
      </c>
      <c r="B28" s="7">
        <v>27</v>
      </c>
      <c r="C28" s="17" t="s">
        <v>69</v>
      </c>
      <c r="D28" s="17" t="s">
        <v>70</v>
      </c>
      <c r="E28" s="17">
        <v>0.3</v>
      </c>
      <c r="F28" s="17"/>
      <c r="G28" s="18">
        <f t="shared" si="0"/>
        <v>0</v>
      </c>
      <c r="H28" s="18">
        <v>496.6</v>
      </c>
      <c r="I28" s="18">
        <f t="shared" si="1"/>
        <v>148.97999999999999</v>
      </c>
    </row>
    <row r="29" spans="1:11" x14ac:dyDescent="0.25">
      <c r="G29">
        <v>1</v>
      </c>
      <c r="H29" s="13" t="s">
        <v>40</v>
      </c>
      <c r="I29" s="21">
        <f>SUM(G6:G28)</f>
        <v>18313.889999999996</v>
      </c>
    </row>
    <row r="30" spans="1:11" x14ac:dyDescent="0.25">
      <c r="G30">
        <v>2</v>
      </c>
      <c r="H30" s="6" t="s">
        <v>46</v>
      </c>
      <c r="I30" s="9">
        <f>SUM(I6:I28)</f>
        <v>8585.239999999998</v>
      </c>
    </row>
    <row r="31" spans="1:11" x14ac:dyDescent="0.25">
      <c r="H31" s="6" t="s">
        <v>47</v>
      </c>
      <c r="I31" s="9">
        <f>+I29+I30</f>
        <v>26899.129999999994</v>
      </c>
      <c r="K31" s="4"/>
    </row>
    <row r="32" spans="1:11" x14ac:dyDescent="0.25">
      <c r="H32" s="6" t="s">
        <v>48</v>
      </c>
      <c r="I32" s="9">
        <f>+I31*0.12</f>
        <v>3227.8955999999989</v>
      </c>
    </row>
    <row r="33" spans="8:9" x14ac:dyDescent="0.25">
      <c r="H33" s="6" t="s">
        <v>24</v>
      </c>
      <c r="I33" s="9">
        <f>+I31+I32</f>
        <v>30127.025599999994</v>
      </c>
    </row>
  </sheetData>
  <mergeCells count="1">
    <mergeCell ref="B3:I3"/>
  </mergeCells>
  <pageMargins left="0.7" right="0.7" top="0.75" bottom="0.75" header="0.3" footer="0.3"/>
  <pageSetup scale="61" orientation="landscape" r:id="rId1"/>
  <colBreaks count="1" manualBreakCount="1">
    <brk id="9" min="2" max="32" man="1"/>
  </colBreaks>
  <ignoredErrors>
    <ignoredError sqref="I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2019-05-21T14:35:42Z</cp:lastPrinted>
  <dcterms:created xsi:type="dcterms:W3CDTF">2019-02-08T18:18:07Z</dcterms:created>
  <dcterms:modified xsi:type="dcterms:W3CDTF">2019-05-23T16:26:18Z</dcterms:modified>
</cp:coreProperties>
</file>